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alculator" sheetId="1" r:id="rId1"/>
  </sheets>
  <definedNames>
    <definedName name="_xlnm.Print_Area" localSheetId="0">'Calculator'!$A$1:$L$34</definedName>
  </definedNames>
  <calcPr fullCalcOnLoad="1"/>
</workbook>
</file>

<file path=xl/sharedStrings.xml><?xml version="1.0" encoding="utf-8"?>
<sst xmlns="http://schemas.openxmlformats.org/spreadsheetml/2006/main" count="89" uniqueCount="73">
  <si>
    <t>% Paid</t>
  </si>
  <si>
    <t>0 - 100</t>
  </si>
  <si>
    <t>101 - 200</t>
  </si>
  <si>
    <t>201 - 300</t>
  </si>
  <si>
    <t>300+</t>
  </si>
  <si>
    <t>Days</t>
  </si>
  <si>
    <t>(75 Bwkly)</t>
  </si>
  <si>
    <t>(80 Bwkly)</t>
  </si>
  <si>
    <t>Minimum</t>
  </si>
  <si>
    <t>Hourly</t>
  </si>
  <si>
    <t>Balance</t>
  </si>
  <si>
    <t xml:space="preserve">Applies to most employees.  See applicable bargaining agreement for details of leave payments. </t>
  </si>
  <si>
    <t>Employee Name:</t>
  </si>
  <si>
    <t>Personnel Number:</t>
  </si>
  <si>
    <t>Days Saved</t>
  </si>
  <si>
    <t>ESTIMATED LEAVE PAYMENT UPON RETIREMENT</t>
  </si>
  <si>
    <t>Payout</t>
  </si>
  <si>
    <t>Hourly Pay Rate</t>
  </si>
  <si>
    <t>Annual Leave Balance in Hours:</t>
  </si>
  <si>
    <t>Sick Leave Balance in Hours:</t>
  </si>
  <si>
    <t>Personal Leave Balance in Hours:</t>
  </si>
  <si>
    <t>*</t>
  </si>
  <si>
    <t>Regular Daily Hours (7.5 or 8.0):</t>
  </si>
  <si>
    <t>Bargaining Unit:</t>
  </si>
  <si>
    <t>AFSCME (A1, A4, B1, B4, G1, G4, J1, N1, A2, B2, G2, G5, J2, N2)</t>
  </si>
  <si>
    <t>CIVEA (E4, E7)</t>
  </si>
  <si>
    <t>Compensation Referees (I5)</t>
  </si>
  <si>
    <t>PSCOA (H1)</t>
  </si>
  <si>
    <t>Fish Officers (K1, K2)</t>
  </si>
  <si>
    <t>PLEA-LLEO (K4, K5)</t>
  </si>
  <si>
    <t>Game Officers (K8)</t>
  </si>
  <si>
    <t>Capitol Police (L4)</t>
  </si>
  <si>
    <t>ISSU (M2)</t>
  </si>
  <si>
    <t>UFCW (M1)</t>
  </si>
  <si>
    <t>OPEIU (P5)</t>
  </si>
  <si>
    <t>SEIU 1199P (P4)</t>
  </si>
  <si>
    <t>UGSOA (R1, R2)</t>
  </si>
  <si>
    <t>DCNR Rangers (R4)</t>
  </si>
  <si>
    <t>PSEA (S4)</t>
  </si>
  <si>
    <t>PDA (T4, T5)</t>
  </si>
  <si>
    <t>PUC Attorneys (Z4)</t>
  </si>
  <si>
    <t>PSSU (F1, F4, F2, F5)</t>
  </si>
  <si>
    <t>Non-Represented (A5, B5, S5)</t>
  </si>
  <si>
    <t>Management (A3, A8, B3, C3, D3, F3, G3, H3, J3, K3, N3, P3, R3, S3, T3, Z3)</t>
  </si>
  <si>
    <t>FOSCEP (C4, C5)</t>
  </si>
  <si>
    <t>0 - 200</t>
  </si>
  <si>
    <t>PSTA (L1) &lt;25 years of service</t>
  </si>
  <si>
    <t>PSTA (L1) 25+ years of service</t>
  </si>
  <si>
    <t>0 - 135</t>
  </si>
  <si>
    <t>136 - 235</t>
  </si>
  <si>
    <t>236 - 335</t>
  </si>
  <si>
    <t>335+</t>
  </si>
  <si>
    <t>(410 days)</t>
  </si>
  <si>
    <t>(117 days)</t>
  </si>
  <si>
    <t>(345 days)</t>
  </si>
  <si>
    <t>Schedules</t>
  </si>
  <si>
    <t>SCH / BU</t>
  </si>
  <si>
    <t>Sick</t>
  </si>
  <si>
    <t>0 - 117</t>
  </si>
  <si>
    <t>118+</t>
  </si>
  <si>
    <r>
      <t xml:space="preserve">NOTE: </t>
    </r>
    <r>
      <rPr>
        <sz val="10"/>
        <rFont val="Verdana"/>
        <family val="2"/>
      </rPr>
      <t xml:space="preserve"> THIS IS AN </t>
    </r>
    <r>
      <rPr>
        <u val="single"/>
        <sz val="10"/>
        <rFont val="Verdana"/>
        <family val="2"/>
      </rPr>
      <t>ESTIMATE ONLY</t>
    </r>
    <r>
      <rPr>
        <sz val="10"/>
        <rFont val="Verdana"/>
        <family val="2"/>
      </rPr>
      <t xml:space="preserve"> AND MAY NOT REFLECT ACTUAL PAYMENT</t>
    </r>
  </si>
  <si>
    <t>Min</t>
  </si>
  <si>
    <t>Max</t>
  </si>
  <si>
    <t>&gt;Max</t>
  </si>
  <si>
    <t>Mid</t>
  </si>
  <si>
    <t>T Days</t>
  </si>
  <si>
    <t>**</t>
  </si>
  <si>
    <t xml:space="preserve">     Payment is made for only full days upon qualifying retirement</t>
  </si>
  <si>
    <t xml:space="preserve">   *Refer to the payout percentage chart on the right of the screen.</t>
  </si>
  <si>
    <t xml:space="preserve"> **Effective at the beginning of the 2017 leave calendar year, management/non-represented</t>
  </si>
  <si>
    <t xml:space="preserve">    and employees covered by some labor agreements no longer earn personal leave.</t>
  </si>
  <si>
    <t>Bureau of Employee Benefits</t>
  </si>
  <si>
    <t>Last Revision April 23,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</si>
</sst>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[$-409]dddd\,\ mmmm\ dd\,\ yyyy"/>
    <numFmt numFmtId="167" formatCode="[$-409]h:mm:ss\ AM/PM"/>
    <numFmt numFmtId="168" formatCode="0.0"/>
    <numFmt numFmtId="169" formatCode="0.000"/>
    <numFmt numFmtId="170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48" fillId="0" borderId="10" xfId="0" applyNumberFormat="1" applyFont="1" applyFill="1" applyBorder="1" applyAlignment="1" applyProtection="1" quotePrefix="1">
      <alignment horizontal="right"/>
      <protection hidden="1"/>
    </xf>
    <xf numFmtId="164" fontId="3" fillId="33" borderId="11" xfId="0" applyNumberFormat="1" applyFont="1" applyFill="1" applyBorder="1" applyAlignment="1" applyProtection="1">
      <alignment/>
      <protection locked="0"/>
    </xf>
    <xf numFmtId="2" fontId="3" fillId="33" borderId="12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 applyProtection="1">
      <alignment/>
      <protection locked="0"/>
    </xf>
    <xf numFmtId="4" fontId="3" fillId="34" borderId="11" xfId="0" applyNumberFormat="1" applyFont="1" applyFill="1" applyBorder="1" applyAlignment="1" applyProtection="1">
      <alignment/>
      <protection locked="0"/>
    </xf>
    <xf numFmtId="2" fontId="48" fillId="0" borderId="0" xfId="0" applyNumberFormat="1" applyFont="1" applyFill="1" applyBorder="1" applyAlignment="1" applyProtection="1" quotePrefix="1">
      <alignment/>
      <protection hidden="1"/>
    </xf>
    <xf numFmtId="2" fontId="48" fillId="0" borderId="13" xfId="44" applyNumberFormat="1" applyFont="1" applyFill="1" applyBorder="1" applyAlignment="1" applyProtection="1" quotePrefix="1">
      <alignment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8" fontId="9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2" fontId="8" fillId="36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2" fontId="49" fillId="0" borderId="0" xfId="0" applyNumberFormat="1" applyFont="1" applyFill="1" applyBorder="1" applyAlignment="1" applyProtection="1" quotePrefix="1">
      <alignment horizontal="right"/>
      <protection/>
    </xf>
    <xf numFmtId="164" fontId="49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2" fontId="49" fillId="0" borderId="0" xfId="0" applyNumberFormat="1" applyFont="1" applyBorder="1" applyAlignment="1" applyProtection="1" quotePrefix="1">
      <alignment horizontal="right"/>
      <protection/>
    </xf>
    <xf numFmtId="2" fontId="49" fillId="0" borderId="0" xfId="44" applyNumberFormat="1" applyFont="1" applyBorder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2" fontId="50" fillId="0" borderId="0" xfId="44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2" fontId="2" fillId="36" borderId="14" xfId="0" applyNumberFormat="1" applyFont="1" applyFill="1" applyBorder="1" applyAlignment="1" applyProtection="1">
      <alignment horizontal="center"/>
      <protection/>
    </xf>
    <xf numFmtId="2" fontId="2" fillId="36" borderId="15" xfId="0" applyNumberFormat="1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 quotePrefix="1">
      <alignment horizontal="right"/>
      <protection/>
    </xf>
    <xf numFmtId="2" fontId="3" fillId="0" borderId="0" xfId="0" applyNumberFormat="1" applyFont="1" applyBorder="1" applyAlignment="1" applyProtection="1" quotePrefix="1">
      <alignment horizontal="center"/>
      <protection/>
    </xf>
    <xf numFmtId="44" fontId="3" fillId="0" borderId="13" xfId="44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51" fillId="0" borderId="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 quotePrefix="1">
      <alignment horizontal="right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44" fontId="3" fillId="0" borderId="13" xfId="44" applyFont="1" applyFill="1" applyBorder="1" applyAlignment="1" applyProtection="1">
      <alignment/>
      <protection/>
    </xf>
    <xf numFmtId="8" fontId="5" fillId="0" borderId="0" xfId="0" applyNumberFormat="1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48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9" fontId="3" fillId="0" borderId="0" xfId="0" applyNumberFormat="1" applyFont="1" applyAlignment="1" applyProtection="1">
      <alignment horizontal="center"/>
      <protection/>
    </xf>
    <xf numFmtId="44" fontId="3" fillId="0" borderId="17" xfId="44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2" fontId="3" fillId="0" borderId="18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8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top"/>
      <protection/>
    </xf>
    <xf numFmtId="49" fontId="10" fillId="0" borderId="0" xfId="0" applyNumberFormat="1" applyFont="1" applyAlignment="1" applyProtection="1">
      <alignment horizontal="right" vertical="top"/>
      <protection/>
    </xf>
    <xf numFmtId="2" fontId="8" fillId="36" borderId="0" xfId="0" applyNumberFormat="1" applyFont="1" applyFill="1" applyBorder="1" applyAlignment="1" applyProtection="1">
      <alignment horizontal="center" wrapText="1"/>
      <protection/>
    </xf>
    <xf numFmtId="2" fontId="49" fillId="0" borderId="0" xfId="0" applyNumberFormat="1" applyFont="1" applyFill="1" applyBorder="1" applyAlignment="1" applyProtection="1" quotePrefix="1">
      <alignment horizontal="right"/>
      <protection hidden="1"/>
    </xf>
    <xf numFmtId="169" fontId="49" fillId="0" borderId="0" xfId="0" applyNumberFormat="1" applyFont="1" applyFill="1" applyBorder="1" applyAlignment="1" applyProtection="1" quotePrefix="1">
      <alignment horizontal="right"/>
      <protection hidden="1"/>
    </xf>
    <xf numFmtId="169" fontId="3" fillId="0" borderId="0" xfId="0" applyNumberFormat="1" applyFont="1" applyAlignment="1" applyProtection="1">
      <alignment/>
      <protection/>
    </xf>
    <xf numFmtId="1" fontId="49" fillId="0" borderId="0" xfId="44" applyNumberFormat="1" applyFont="1" applyFill="1" applyBorder="1" applyAlignment="1" applyProtection="1" quotePrefix="1">
      <alignment/>
      <protection hidden="1"/>
    </xf>
    <xf numFmtId="0" fontId="3" fillId="0" borderId="0" xfId="0" applyFont="1" applyAlignment="1" applyProtection="1">
      <alignment vertical="top"/>
      <protection/>
    </xf>
    <xf numFmtId="0" fontId="2" fillId="33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2" fontId="8" fillId="36" borderId="0" xfId="0" applyNumberFormat="1" applyFont="1" applyFill="1" applyBorder="1" applyAlignment="1" applyProtection="1">
      <alignment horizontal="center" wrapText="1"/>
      <protection/>
    </xf>
    <xf numFmtId="2" fontId="3" fillId="33" borderId="20" xfId="0" applyNumberFormat="1" applyFont="1" applyFill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266700</xdr:rowOff>
    </xdr:from>
    <xdr:to>
      <xdr:col>1</xdr:col>
      <xdr:colOff>2266950</xdr:colOff>
      <xdr:row>4</xdr:row>
      <xdr:rowOff>161925</xdr:rowOff>
    </xdr:to>
    <xdr:pic>
      <xdr:nvPicPr>
        <xdr:cNvPr id="1" name="Picture 3" descr="OA-lef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428625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SheetLayoutView="100" zoomScalePageLayoutView="0" workbookViewId="0" topLeftCell="A1">
      <selection activeCell="C11" sqref="C11:G11"/>
    </sheetView>
  </sheetViews>
  <sheetFormatPr defaultColWidth="9.140625" defaultRowHeight="12.75"/>
  <cols>
    <col min="1" max="1" width="3.7109375" style="11" customWidth="1"/>
    <col min="2" max="2" width="38.421875" style="11" customWidth="1"/>
    <col min="3" max="3" width="11.140625" style="11" customWidth="1"/>
    <col min="4" max="4" width="4.421875" style="11" customWidth="1"/>
    <col min="5" max="5" width="13.8515625" style="70" bestFit="1" customWidth="1"/>
    <col min="6" max="6" width="2.00390625" style="70" customWidth="1"/>
    <col min="7" max="7" width="15.00390625" style="11" customWidth="1"/>
    <col min="8" max="8" width="5.00390625" style="11" customWidth="1"/>
    <col min="9" max="9" width="10.28125" style="11" bestFit="1" customWidth="1"/>
    <col min="10" max="11" width="12.57421875" style="11" bestFit="1" customWidth="1"/>
    <col min="12" max="12" width="8.7109375" style="11" bestFit="1" customWidth="1"/>
    <col min="13" max="13" width="2.421875" style="12" customWidth="1"/>
    <col min="14" max="14" width="14.8515625" style="12" hidden="1" customWidth="1"/>
    <col min="15" max="15" width="14.140625" style="12" hidden="1" customWidth="1"/>
    <col min="16" max="16" width="11.00390625" style="73" hidden="1" customWidth="1"/>
    <col min="17" max="17" width="2.8515625" style="73" hidden="1" customWidth="1"/>
    <col min="18" max="18" width="3.8515625" style="12" hidden="1" customWidth="1"/>
    <col min="19" max="19" width="8.00390625" style="12" hidden="1" customWidth="1"/>
    <col min="20" max="21" width="9.7109375" style="12" hidden="1" customWidth="1"/>
    <col min="22" max="22" width="6.7109375" style="12" hidden="1" customWidth="1"/>
    <col min="23" max="23" width="8.7109375" style="12" hidden="1" customWidth="1"/>
    <col min="24" max="24" width="3.57421875" style="12" hidden="1" customWidth="1"/>
    <col min="25" max="25" width="11.28125" style="15" hidden="1" customWidth="1"/>
    <col min="26" max="26" width="5.7109375" style="15" hidden="1" customWidth="1"/>
    <col min="27" max="28" width="6.7109375" style="15" hidden="1" customWidth="1"/>
    <col min="29" max="29" width="7.140625" style="15" hidden="1" customWidth="1"/>
    <col min="30" max="30" width="7.28125" style="15" hidden="1" customWidth="1"/>
    <col min="31" max="31" width="9.8515625" style="15" hidden="1" customWidth="1"/>
    <col min="32" max="32" width="9.140625" style="11" customWidth="1"/>
    <col min="33" max="16384" width="9.140625" style="11" customWidth="1"/>
  </cols>
  <sheetData>
    <row r="1" spans="2:30" ht="12.75" customHeight="1">
      <c r="B1" s="8"/>
      <c r="C1" s="9"/>
      <c r="D1" s="9"/>
      <c r="E1" s="10"/>
      <c r="F1" s="10"/>
      <c r="N1" s="13" t="s">
        <v>56</v>
      </c>
      <c r="P1" s="14" t="s">
        <v>21</v>
      </c>
      <c r="Q1" s="14"/>
      <c r="S1" s="91" t="s">
        <v>55</v>
      </c>
      <c r="T1" s="91"/>
      <c r="U1" s="91"/>
      <c r="V1" s="91"/>
      <c r="Y1" s="92" t="s">
        <v>14</v>
      </c>
      <c r="Z1" s="80"/>
      <c r="AA1" s="80"/>
      <c r="AB1" s="80"/>
      <c r="AC1" s="80"/>
      <c r="AD1" s="80"/>
    </row>
    <row r="2" spans="2:31" ht="21.75">
      <c r="B2" s="8"/>
      <c r="C2" s="9"/>
      <c r="D2" s="9"/>
      <c r="E2" s="10"/>
      <c r="F2" s="10"/>
      <c r="N2" s="12">
        <v>1</v>
      </c>
      <c r="O2" s="12" t="s">
        <v>24</v>
      </c>
      <c r="P2" s="14">
        <f>IF(C16=O2,1,"")</f>
      </c>
      <c r="Q2" s="14"/>
      <c r="S2" s="16" t="s">
        <v>5</v>
      </c>
      <c r="T2" s="17" t="s">
        <v>6</v>
      </c>
      <c r="U2" s="18" t="s">
        <v>7</v>
      </c>
      <c r="V2" s="18" t="s">
        <v>0</v>
      </c>
      <c r="W2" s="18"/>
      <c r="Y2" s="92"/>
      <c r="Z2" s="80" t="s">
        <v>63</v>
      </c>
      <c r="AA2" s="80" t="s">
        <v>62</v>
      </c>
      <c r="AB2" s="80" t="s">
        <v>64</v>
      </c>
      <c r="AC2" s="80" t="s">
        <v>61</v>
      </c>
      <c r="AD2" s="80" t="s">
        <v>65</v>
      </c>
      <c r="AE2" s="19" t="s">
        <v>16</v>
      </c>
    </row>
    <row r="3" spans="2:31" ht="12.75">
      <c r="B3" s="8"/>
      <c r="C3" s="9"/>
      <c r="D3" s="9"/>
      <c r="E3" s="10"/>
      <c r="F3" s="10"/>
      <c r="N3" s="12">
        <v>5</v>
      </c>
      <c r="O3" s="12" t="s">
        <v>31</v>
      </c>
      <c r="P3" s="14">
        <f>IF(C16=O3,5,"")</f>
      </c>
      <c r="Q3" s="14"/>
      <c r="R3" s="12">
        <v>1</v>
      </c>
      <c r="S3" s="20" t="s">
        <v>1</v>
      </c>
      <c r="T3" s="21">
        <v>0</v>
      </c>
      <c r="U3" s="22">
        <v>0</v>
      </c>
      <c r="V3" s="23">
        <v>0.3</v>
      </c>
      <c r="W3" s="23"/>
      <c r="Y3" s="24">
        <f>IF(C15&gt;0,(C22/C15),"")</f>
      </c>
      <c r="Z3" s="24"/>
      <c r="AA3" s="24" t="e">
        <f>IF(Y4&gt;200.99,(Y4*0.5),0)</f>
        <v>#VALUE!</v>
      </c>
      <c r="AB3" s="24"/>
      <c r="AC3" s="24"/>
      <c r="AD3" s="24"/>
      <c r="AE3" s="25">
        <f>IF(P25=1,(AE4*C15*C14),0)</f>
        <v>0</v>
      </c>
    </row>
    <row r="4" spans="2:32" ht="15">
      <c r="B4" s="8"/>
      <c r="C4" s="9"/>
      <c r="D4" s="9"/>
      <c r="E4" s="10"/>
      <c r="F4" s="10"/>
      <c r="L4" s="77"/>
      <c r="N4" s="12">
        <v>1</v>
      </c>
      <c r="O4" s="12" t="s">
        <v>25</v>
      </c>
      <c r="P4" s="14">
        <f>IF(C16=O4,1,"")</f>
      </c>
      <c r="Q4" s="14"/>
      <c r="S4" s="20" t="s">
        <v>2</v>
      </c>
      <c r="T4" s="21">
        <v>757.5</v>
      </c>
      <c r="U4" s="22">
        <v>808</v>
      </c>
      <c r="V4" s="23">
        <v>0.4</v>
      </c>
      <c r="W4" s="23"/>
      <c r="X4" s="26"/>
      <c r="Y4" s="81">
        <f>IF(Y3&gt;0,Y3,0)</f>
      </c>
      <c r="Z4" s="82" t="e">
        <f>IF(Y4&gt;300,(Y4-300),0)</f>
        <v>#VALUE!</v>
      </c>
      <c r="AA4" s="82" t="e">
        <f>IF(AA3&gt;150,(150),AA3)</f>
        <v>#VALUE!</v>
      </c>
      <c r="AB4" s="82" t="e">
        <f>IF(AA4+AC4=0,(IF(Y4&gt;100.99,(Y4*0.4))),0)</f>
        <v>#VALUE!</v>
      </c>
      <c r="AC4" s="82">
        <f>IF(Y4&lt;101,(Y4*0.3),0)</f>
        <v>0</v>
      </c>
      <c r="AD4" s="82" t="e">
        <f>SUM(Z4:AC4)</f>
        <v>#VALUE!</v>
      </c>
      <c r="AE4" s="84" t="e">
        <f>ROUNDDOWN(AD4,0)</f>
        <v>#VALUE!</v>
      </c>
      <c r="AF4" s="83"/>
    </row>
    <row r="5" spans="2:31" ht="15">
      <c r="B5" s="8"/>
      <c r="C5" s="9"/>
      <c r="D5" s="9"/>
      <c r="E5" s="10"/>
      <c r="F5" s="10"/>
      <c r="L5" s="77"/>
      <c r="N5" s="12">
        <v>1</v>
      </c>
      <c r="O5" s="12" t="s">
        <v>26</v>
      </c>
      <c r="P5" s="14">
        <f>IF(C16=O5,1,"")</f>
      </c>
      <c r="Q5" s="14"/>
      <c r="S5" s="20" t="s">
        <v>3</v>
      </c>
      <c r="T5" s="21">
        <v>1507.5</v>
      </c>
      <c r="U5" s="22">
        <v>1608</v>
      </c>
      <c r="V5" s="23">
        <v>0.5</v>
      </c>
      <c r="W5" s="23"/>
      <c r="X5" s="26"/>
      <c r="Y5" s="27"/>
      <c r="Z5" s="27"/>
      <c r="AA5" s="27"/>
      <c r="AB5" s="27"/>
      <c r="AC5" s="27"/>
      <c r="AD5" s="27"/>
      <c r="AE5" s="28"/>
    </row>
    <row r="6" spans="2:31" ht="15" customHeight="1">
      <c r="B6" s="8"/>
      <c r="C6" s="9"/>
      <c r="D6" s="9"/>
      <c r="E6" s="10"/>
      <c r="F6" s="10"/>
      <c r="L6" s="77" t="s">
        <v>15</v>
      </c>
      <c r="N6" s="12">
        <v>1</v>
      </c>
      <c r="O6" s="12" t="s">
        <v>37</v>
      </c>
      <c r="P6" s="14">
        <f>IF(C16=O6,1,"")</f>
      </c>
      <c r="Q6" s="14"/>
      <c r="S6" s="20" t="s">
        <v>4</v>
      </c>
      <c r="T6" s="21">
        <v>2250</v>
      </c>
      <c r="U6" s="22">
        <v>2400</v>
      </c>
      <c r="V6" s="23">
        <v>1</v>
      </c>
      <c r="W6" s="23"/>
      <c r="X6" s="26"/>
      <c r="Y6" s="29"/>
      <c r="Z6" s="29"/>
      <c r="AA6" s="29"/>
      <c r="AB6" s="29"/>
      <c r="AC6" s="29"/>
      <c r="AD6" s="29"/>
      <c r="AE6" s="28"/>
    </row>
    <row r="7" spans="1:31" s="8" customFormat="1" ht="12.75" customHeight="1">
      <c r="A7" s="11"/>
      <c r="C7" s="9"/>
      <c r="D7" s="9"/>
      <c r="E7" s="10"/>
      <c r="F7" s="10"/>
      <c r="G7" s="11"/>
      <c r="H7" s="11"/>
      <c r="I7" s="11"/>
      <c r="J7" s="11"/>
      <c r="K7" s="11"/>
      <c r="L7" s="77"/>
      <c r="M7" s="31"/>
      <c r="N7" s="12">
        <v>1</v>
      </c>
      <c r="O7" s="12" t="s">
        <v>28</v>
      </c>
      <c r="P7" s="14">
        <f>IF(C16=O7,1,"")</f>
      </c>
      <c r="Q7" s="32"/>
      <c r="R7" s="12"/>
      <c r="S7" s="12"/>
      <c r="T7" s="12"/>
      <c r="U7" s="12"/>
      <c r="V7" s="12"/>
      <c r="W7" s="12"/>
      <c r="X7" s="26"/>
      <c r="Y7" s="29"/>
      <c r="Z7" s="29"/>
      <c r="AA7" s="29"/>
      <c r="AB7" s="29"/>
      <c r="AC7" s="29"/>
      <c r="AD7" s="29"/>
      <c r="AE7" s="33">
        <f>IF(C15&lt;0,(G20+G22+G24),"")</f>
      </c>
    </row>
    <row r="8" spans="1:31" s="8" customFormat="1" ht="12.75">
      <c r="A8" s="11"/>
      <c r="B8" s="8" t="s">
        <v>60</v>
      </c>
      <c r="C8" s="9"/>
      <c r="D8" s="9"/>
      <c r="E8" s="10"/>
      <c r="F8" s="10"/>
      <c r="G8" s="11"/>
      <c r="H8" s="11"/>
      <c r="I8" s="11"/>
      <c r="J8" s="11"/>
      <c r="K8" s="11"/>
      <c r="L8" s="11"/>
      <c r="M8" s="31"/>
      <c r="N8" s="12">
        <v>1</v>
      </c>
      <c r="O8" s="12" t="s">
        <v>44</v>
      </c>
      <c r="P8" s="14">
        <f>IF(C16=O8,1,"")</f>
      </c>
      <c r="Q8" s="32"/>
      <c r="R8" s="12">
        <v>2</v>
      </c>
      <c r="S8" s="20" t="s">
        <v>45</v>
      </c>
      <c r="T8" s="21">
        <v>0</v>
      </c>
      <c r="U8" s="22">
        <v>0</v>
      </c>
      <c r="V8" s="23">
        <v>0.4</v>
      </c>
      <c r="W8" s="23"/>
      <c r="X8" s="26"/>
      <c r="Y8" s="15">
        <f>IF(C15&gt;0,(C22/C15),"")</f>
      </c>
      <c r="Z8" s="24"/>
      <c r="AA8" s="24" t="e">
        <f>IF(Y9&gt;200.99,(Y9*0.5),0)</f>
        <v>#VALUE!</v>
      </c>
      <c r="AB8" s="15"/>
      <c r="AC8" s="15"/>
      <c r="AD8" s="15"/>
      <c r="AE8" s="25">
        <f>IF(P25=2,(AE9*C15*C14),0)</f>
        <v>0</v>
      </c>
    </row>
    <row r="9" spans="2:31" ht="12.75">
      <c r="B9" s="11" t="s">
        <v>11</v>
      </c>
      <c r="C9" s="9"/>
      <c r="D9" s="9"/>
      <c r="E9" s="10"/>
      <c r="F9" s="10"/>
      <c r="N9" s="12">
        <v>1</v>
      </c>
      <c r="O9" s="12" t="s">
        <v>30</v>
      </c>
      <c r="P9" s="14">
        <f>IF(C16=O9,1,"")</f>
      </c>
      <c r="Q9" s="14"/>
      <c r="S9" s="20" t="s">
        <v>3</v>
      </c>
      <c r="T9" s="21">
        <v>1507.5</v>
      </c>
      <c r="U9" s="22">
        <v>1608</v>
      </c>
      <c r="V9" s="23">
        <v>0.5</v>
      </c>
      <c r="W9" s="23"/>
      <c r="X9" s="26"/>
      <c r="Y9" s="81">
        <f>IF(Y8&gt;0,Y8,0)</f>
      </c>
      <c r="Z9" s="82" t="e">
        <f>IF(Y9&gt;300,(Y9-300),0)</f>
        <v>#VALUE!</v>
      </c>
      <c r="AA9" s="82" t="e">
        <f>IF(AA8&gt;150,(150),AA8)</f>
        <v>#VALUE!</v>
      </c>
      <c r="AB9" s="82"/>
      <c r="AC9" s="82">
        <f>IF(Y9&lt;201,(Y9*0.4),0)</f>
        <v>0</v>
      </c>
      <c r="AD9" s="82" t="e">
        <f>SUM(Z9:AC9)</f>
        <v>#VALUE!</v>
      </c>
      <c r="AE9" s="84" t="e">
        <f>ROUNDDOWN(AD9,0)</f>
        <v>#VALUE!</v>
      </c>
    </row>
    <row r="10" spans="3:24" ht="12.75">
      <c r="C10" s="9"/>
      <c r="D10" s="9"/>
      <c r="E10" s="10"/>
      <c r="F10" s="10"/>
      <c r="N10" s="12">
        <v>1</v>
      </c>
      <c r="O10" s="12" t="s">
        <v>32</v>
      </c>
      <c r="P10" s="14">
        <f>IF(C16=O10,1,"")</f>
      </c>
      <c r="Q10" s="14"/>
      <c r="S10" s="20" t="s">
        <v>4</v>
      </c>
      <c r="T10" s="21">
        <v>2250</v>
      </c>
      <c r="U10" s="22">
        <v>2400</v>
      </c>
      <c r="V10" s="23">
        <v>1</v>
      </c>
      <c r="W10" s="23"/>
      <c r="X10" s="26"/>
    </row>
    <row r="11" spans="1:23" ht="12.75">
      <c r="A11" s="8"/>
      <c r="B11" s="30" t="s">
        <v>12</v>
      </c>
      <c r="C11" s="86"/>
      <c r="D11" s="87"/>
      <c r="E11" s="87"/>
      <c r="F11" s="87"/>
      <c r="G11" s="87"/>
      <c r="N11" s="12">
        <v>1</v>
      </c>
      <c r="O11" s="12" t="s">
        <v>34</v>
      </c>
      <c r="P11" s="14">
        <f>IF(C16=O11,1,"")</f>
      </c>
      <c r="Q11" s="14"/>
      <c r="S11" s="20"/>
      <c r="T11" s="21"/>
      <c r="U11" s="22"/>
      <c r="V11" s="23"/>
      <c r="W11" s="23"/>
    </row>
    <row r="12" spans="1:23" ht="12.75">
      <c r="A12" s="8"/>
      <c r="B12" s="30" t="s">
        <v>13</v>
      </c>
      <c r="C12" s="88"/>
      <c r="D12" s="89"/>
      <c r="E12" s="89"/>
      <c r="F12" s="89"/>
      <c r="G12" s="90"/>
      <c r="N12" s="12">
        <v>1</v>
      </c>
      <c r="O12" s="12" t="s">
        <v>39</v>
      </c>
      <c r="P12" s="14">
        <f>IF(C16=O12,1,"")</f>
      </c>
      <c r="Q12" s="14"/>
      <c r="S12" s="20"/>
      <c r="T12" s="21"/>
      <c r="U12" s="22"/>
      <c r="V12" s="23"/>
      <c r="W12" s="23"/>
    </row>
    <row r="13" spans="3:31" ht="12.75">
      <c r="C13" s="9"/>
      <c r="D13" s="9"/>
      <c r="E13" s="10"/>
      <c r="F13" s="10"/>
      <c r="N13" s="12">
        <v>1</v>
      </c>
      <c r="O13" s="12" t="s">
        <v>29</v>
      </c>
      <c r="P13" s="14">
        <f>IF(C16=O13,1,"")</f>
      </c>
      <c r="Q13" s="14"/>
      <c r="R13" s="12">
        <v>3</v>
      </c>
      <c r="S13" s="20" t="s">
        <v>58</v>
      </c>
      <c r="T13" s="21">
        <v>877.5</v>
      </c>
      <c r="U13" s="22">
        <v>936</v>
      </c>
      <c r="V13" s="23">
        <v>0.35</v>
      </c>
      <c r="W13" s="12" t="s">
        <v>53</v>
      </c>
      <c r="Y13" s="15">
        <f>IF(C15&gt;0,(C22/C15),"")</f>
      </c>
      <c r="Z13" s="24"/>
      <c r="AA13" s="24"/>
      <c r="AE13" s="25">
        <f>IF(P25=3,(AE14*C15*C14),0)</f>
        <v>0</v>
      </c>
    </row>
    <row r="14" spans="2:31" ht="12.75">
      <c r="B14" s="8" t="s">
        <v>17</v>
      </c>
      <c r="C14" s="2"/>
      <c r="D14" s="35"/>
      <c r="E14" s="36"/>
      <c r="F14" s="36"/>
      <c r="N14" s="12">
        <v>2</v>
      </c>
      <c r="O14" s="12" t="s">
        <v>27</v>
      </c>
      <c r="P14" s="14">
        <f>IF(C16=O14,2,"")</f>
      </c>
      <c r="Q14" s="14"/>
      <c r="S14" s="20" t="s">
        <v>59</v>
      </c>
      <c r="T14" s="21">
        <v>0</v>
      </c>
      <c r="U14" s="22">
        <v>0</v>
      </c>
      <c r="V14" s="23">
        <v>0</v>
      </c>
      <c r="W14" s="23"/>
      <c r="Y14" s="81">
        <f>IF(Y13&gt;0,Y13,0)</f>
      </c>
      <c r="Z14" s="82"/>
      <c r="AA14" s="82">
        <f>IF(Y14&gt;117,(117),0)</f>
        <v>117</v>
      </c>
      <c r="AB14" s="82"/>
      <c r="AC14" s="82">
        <f>IF(Y14&lt;118,(Y14*0.35),0)</f>
        <v>0</v>
      </c>
      <c r="AD14" s="82">
        <f>SUM(Z14:AC14)</f>
        <v>117</v>
      </c>
      <c r="AE14" s="84">
        <f>ROUNDDOWN(AD14,0)</f>
        <v>117</v>
      </c>
    </row>
    <row r="15" spans="2:23" ht="12.75">
      <c r="B15" s="8" t="s">
        <v>22</v>
      </c>
      <c r="C15" s="3"/>
      <c r="D15" s="37"/>
      <c r="E15" s="38"/>
      <c r="F15" s="38"/>
      <c r="G15" s="39"/>
      <c r="N15" s="12">
        <v>1</v>
      </c>
      <c r="O15" s="12" t="s">
        <v>38</v>
      </c>
      <c r="P15" s="14">
        <f>IF(C16=O15,1,"")</f>
      </c>
      <c r="Q15" s="14"/>
      <c r="S15" s="20"/>
      <c r="T15" s="21"/>
      <c r="U15" s="22"/>
      <c r="V15" s="23"/>
      <c r="W15" s="23"/>
    </row>
    <row r="16" spans="2:23" ht="12.75">
      <c r="B16" s="8" t="s">
        <v>23</v>
      </c>
      <c r="C16" s="93"/>
      <c r="D16" s="94"/>
      <c r="E16" s="94"/>
      <c r="F16" s="94"/>
      <c r="G16" s="95"/>
      <c r="N16" s="12">
        <v>1</v>
      </c>
      <c r="O16" s="12" t="s">
        <v>41</v>
      </c>
      <c r="P16" s="14">
        <f>IF(C16=O16,1,"")</f>
      </c>
      <c r="Q16" s="14"/>
      <c r="S16" s="20"/>
      <c r="T16" s="21"/>
      <c r="U16" s="22"/>
      <c r="V16" s="23"/>
      <c r="W16" s="23"/>
    </row>
    <row r="17" spans="2:17" ht="12.75">
      <c r="B17" s="8"/>
      <c r="C17" s="96"/>
      <c r="D17" s="97"/>
      <c r="E17" s="97"/>
      <c r="F17" s="97"/>
      <c r="G17" s="98"/>
      <c r="N17" s="12">
        <v>3</v>
      </c>
      <c r="O17" s="12" t="s">
        <v>46</v>
      </c>
      <c r="P17" s="14">
        <f>IF(C16=O17,3,"")</f>
      </c>
      <c r="Q17" s="14"/>
    </row>
    <row r="18" spans="2:31" ht="12.75">
      <c r="B18" s="8"/>
      <c r="C18" s="37"/>
      <c r="D18" s="40"/>
      <c r="E18" s="41"/>
      <c r="F18" s="41"/>
      <c r="G18" s="39"/>
      <c r="N18" s="12">
        <v>4</v>
      </c>
      <c r="O18" s="12" t="s">
        <v>47</v>
      </c>
      <c r="P18" s="14">
        <f>IF(C16=O18,4,"")</f>
      </c>
      <c r="Q18" s="14"/>
      <c r="R18" s="12">
        <v>4</v>
      </c>
      <c r="S18" s="20" t="s">
        <v>48</v>
      </c>
      <c r="T18" s="21">
        <v>0</v>
      </c>
      <c r="U18" s="22">
        <v>0</v>
      </c>
      <c r="V18" s="23">
        <v>0.35</v>
      </c>
      <c r="W18" s="23"/>
      <c r="Y18" s="15">
        <f>IF(C15&gt;0,(C22/C15),"")</f>
      </c>
      <c r="Z18" s="24"/>
      <c r="AA18" s="24" t="e">
        <f>IF(Y19&gt;235.99,(Y19*0.5),0)</f>
        <v>#VALUE!</v>
      </c>
      <c r="AB18" s="24"/>
      <c r="AC18" s="24"/>
      <c r="AD18" s="24"/>
      <c r="AE18" s="25">
        <f>IF(P25=4,(AE19*C15*C14),0)</f>
        <v>0</v>
      </c>
    </row>
    <row r="19" spans="2:31" ht="12.75">
      <c r="B19" s="8"/>
      <c r="C19" s="42"/>
      <c r="D19" s="37"/>
      <c r="E19" s="43" t="s">
        <v>14</v>
      </c>
      <c r="F19" s="44"/>
      <c r="G19" s="45" t="s">
        <v>16</v>
      </c>
      <c r="J19" s="46" t="s">
        <v>8</v>
      </c>
      <c r="K19" s="47" t="s">
        <v>8</v>
      </c>
      <c r="N19" s="12">
        <v>1</v>
      </c>
      <c r="O19" s="12" t="s">
        <v>40</v>
      </c>
      <c r="P19" s="14">
        <f>IF(C16=O19,1,"")</f>
      </c>
      <c r="Q19" s="14"/>
      <c r="S19" s="20" t="s">
        <v>49</v>
      </c>
      <c r="T19" s="21">
        <v>1020</v>
      </c>
      <c r="U19" s="22">
        <v>1088</v>
      </c>
      <c r="V19" s="23">
        <v>0.4</v>
      </c>
      <c r="W19" s="23"/>
      <c r="X19" s="12" t="e">
        <f>IF(Y19&gt;335,(Y19-335),0)</f>
        <v>#VALUE!</v>
      </c>
      <c r="Y19" s="81">
        <f>IF(Y18&gt;0,Y18,0)</f>
      </c>
      <c r="Z19" s="82" t="e">
        <f>IF(X19&gt;75,75,X19)</f>
        <v>#VALUE!</v>
      </c>
      <c r="AA19" s="82" t="e">
        <f>IF(AA18&gt;167.5,(167.5),AA18)</f>
        <v>#VALUE!</v>
      </c>
      <c r="AB19" s="82" t="e">
        <f>IF(AA19+AC19=0,(IF(Y19&gt;135.99,(Y19*0.4))),0)</f>
        <v>#VALUE!</v>
      </c>
      <c r="AC19" s="82">
        <f>IF(Y19&lt;136,(Y19*0.35),0)</f>
        <v>0</v>
      </c>
      <c r="AD19" s="82" t="e">
        <f>SUM(Z19:AC19)</f>
        <v>#VALUE!</v>
      </c>
      <c r="AE19" s="84" t="e">
        <f>ROUNDDOWN(AD19,0)</f>
        <v>#VALUE!</v>
      </c>
    </row>
    <row r="20" spans="2:23" ht="12.75">
      <c r="B20" s="8" t="s">
        <v>18</v>
      </c>
      <c r="C20" s="4"/>
      <c r="D20" s="40"/>
      <c r="E20" s="48">
        <f>IF(C15&gt;0,(C20/C15),"")</f>
      </c>
      <c r="F20" s="49"/>
      <c r="G20" s="50">
        <f>IF(C15&gt;0,(C20*C14),"")</f>
      </c>
      <c r="J20" s="47" t="s">
        <v>9</v>
      </c>
      <c r="K20" s="47" t="s">
        <v>9</v>
      </c>
      <c r="N20" s="12">
        <v>1</v>
      </c>
      <c r="O20" s="12" t="s">
        <v>35</v>
      </c>
      <c r="P20" s="14">
        <f>IF(C16=O20,1,"")</f>
      </c>
      <c r="Q20" s="14"/>
      <c r="S20" s="20" t="s">
        <v>50</v>
      </c>
      <c r="T20" s="21">
        <v>1770</v>
      </c>
      <c r="U20" s="22">
        <v>1888</v>
      </c>
      <c r="V20" s="23">
        <v>0.5</v>
      </c>
      <c r="W20" s="23"/>
    </row>
    <row r="21" spans="2:23" ht="12.75">
      <c r="B21" s="8"/>
      <c r="C21" s="42"/>
      <c r="D21" s="37"/>
      <c r="E21" s="51"/>
      <c r="F21" s="52"/>
      <c r="G21" s="50"/>
      <c r="I21" s="47" t="s">
        <v>57</v>
      </c>
      <c r="J21" s="46" t="s">
        <v>10</v>
      </c>
      <c r="K21" s="47" t="s">
        <v>10</v>
      </c>
      <c r="N21" s="12">
        <v>1</v>
      </c>
      <c r="O21" s="12" t="s">
        <v>33</v>
      </c>
      <c r="P21" s="14">
        <f>IF(C16=O21,1,"")</f>
      </c>
      <c r="Q21" s="14"/>
      <c r="S21" s="20" t="s">
        <v>51</v>
      </c>
      <c r="T21" s="21">
        <v>2512.5</v>
      </c>
      <c r="U21" s="22">
        <v>2680</v>
      </c>
      <c r="V21" s="23">
        <v>1</v>
      </c>
      <c r="W21" s="12" t="s">
        <v>52</v>
      </c>
    </row>
    <row r="22" spans="2:31" ht="12.75">
      <c r="B22" s="8" t="s">
        <v>19</v>
      </c>
      <c r="C22" s="5"/>
      <c r="D22" s="53"/>
      <c r="E22" s="54">
        <f>IF(C15&gt;0,(C22/C15),"")</f>
      </c>
      <c r="F22" s="55" t="s">
        <v>21</v>
      </c>
      <c r="G22" s="56">
        <f>AE27</f>
        <v>0</v>
      </c>
      <c r="I22" s="57" t="s">
        <v>5</v>
      </c>
      <c r="J22" s="58" t="s">
        <v>6</v>
      </c>
      <c r="K22" s="59" t="s">
        <v>7</v>
      </c>
      <c r="L22" s="59" t="s">
        <v>0</v>
      </c>
      <c r="N22" s="12">
        <v>1</v>
      </c>
      <c r="O22" s="12" t="s">
        <v>36</v>
      </c>
      <c r="P22" s="14">
        <f>IF(C16=O22,1,"")</f>
      </c>
      <c r="Q22" s="14"/>
      <c r="Y22" s="69"/>
      <c r="Z22" s="69"/>
      <c r="AA22" s="69"/>
      <c r="AB22" s="69"/>
      <c r="AC22" s="69"/>
      <c r="AD22" s="69"/>
      <c r="AE22" s="69"/>
    </row>
    <row r="23" spans="2:31" ht="12.75">
      <c r="B23" s="8"/>
      <c r="C23" s="60"/>
      <c r="D23" s="60"/>
      <c r="E23" s="1"/>
      <c r="F23" s="6"/>
      <c r="G23" s="7"/>
      <c r="I23" s="38">
        <f>IF(P25=1,S3,IF(P25=2,S8,IF(P25=3,S13,IF(P25=4,S18,IF(P25=5,S23,"")))))</f>
      </c>
      <c r="J23" s="61">
        <f>IF(P25=1,T3,IF(P25=2,T8,IF(P25=3,T13,IF(P25=4,T18,IF(P25=5,T23,"")))))</f>
      </c>
      <c r="K23" s="62">
        <f>IF(P25=1,U3,IF(P25=2,U8,IF(P25=3,U13,IF(P25=4,U18,IF(P25=5,U23,"")))))</f>
      </c>
      <c r="L23" s="63">
        <f>IF(P25=1,V3,IF(P25=2,V8,IF(P25=3,V13,IF(P25=4,V18,IF(P25=5,V23,"")))))</f>
      </c>
      <c r="N23" s="12">
        <v>1</v>
      </c>
      <c r="O23" s="12" t="s">
        <v>43</v>
      </c>
      <c r="P23" s="14">
        <f>IF(C16=O23,1,"")</f>
      </c>
      <c r="Q23" s="14"/>
      <c r="R23" s="12">
        <v>5</v>
      </c>
      <c r="S23" s="20" t="s">
        <v>1</v>
      </c>
      <c r="T23" s="21">
        <v>0</v>
      </c>
      <c r="U23" s="22">
        <v>0</v>
      </c>
      <c r="V23" s="23">
        <v>0.35</v>
      </c>
      <c r="W23" s="23"/>
      <c r="Y23" s="15">
        <f>IF(C15&gt;0,(C22/C15),"")</f>
      </c>
      <c r="Z23" s="24"/>
      <c r="AA23" s="24" t="e">
        <f>IF(Y24&gt;200.99,(Y24*0.5),0)</f>
        <v>#VALUE!</v>
      </c>
      <c r="AB23" s="24"/>
      <c r="AC23" s="24"/>
      <c r="AD23" s="24"/>
      <c r="AE23" s="25">
        <f>IF(P25=5,(AE24*C15*C14),0)</f>
        <v>0</v>
      </c>
    </row>
    <row r="24" spans="1:31" ht="12.75">
      <c r="A24" s="11" t="s">
        <v>66</v>
      </c>
      <c r="B24" s="8" t="s">
        <v>20</v>
      </c>
      <c r="C24" s="4"/>
      <c r="D24" s="40"/>
      <c r="E24" s="48">
        <f>IF(C15&gt;0,(C24/C15),"")</f>
      </c>
      <c r="F24" s="49"/>
      <c r="G24" s="64">
        <f>IF(C15&gt;0,(C24*C14),"")</f>
      </c>
      <c r="I24" s="38">
        <f>IF(P25=1,S4,IF(P25=2,S9,IF(P25=3,S14,IF(P25=4,S19,IF(P25=5,S24,"")))))</f>
      </c>
      <c r="J24" s="61">
        <f>IF(P25=1,T4,IF(P25=2,T9,IF(P25=3,T14,IF(P25=4,T19,IF(P25=5,T24,"")))))</f>
      </c>
      <c r="K24" s="62">
        <f>IF(P25=1,U4,IF(P25=2,U9,IF(P25=3,U14,IF(P25=4,U19,IF(P25=5,U24,"")))))</f>
      </c>
      <c r="L24" s="63">
        <f>IF(P25=1,V4,IF(P25=2,V9,IF(P25=3,V14,IF(P25=4,V19,IF(P25=5,V24,"")))))</f>
      </c>
      <c r="N24" s="12">
        <v>1</v>
      </c>
      <c r="O24" s="12" t="s">
        <v>42</v>
      </c>
      <c r="P24" s="14">
        <f>IF(C16=O24,1,"")</f>
      </c>
      <c r="Q24" s="14"/>
      <c r="S24" s="20" t="s">
        <v>2</v>
      </c>
      <c r="T24" s="21">
        <v>757.5</v>
      </c>
      <c r="U24" s="22">
        <v>808</v>
      </c>
      <c r="V24" s="23">
        <v>0.4</v>
      </c>
      <c r="W24" s="23"/>
      <c r="X24" s="12" t="e">
        <f>IF(Y24&gt;300,(Y24-300),0)</f>
        <v>#VALUE!</v>
      </c>
      <c r="Y24" s="81">
        <f>IF(Y23&gt;0,Y23,0)</f>
      </c>
      <c r="Z24" s="82" t="e">
        <f>IF(X24&gt;45,45,X24)</f>
        <v>#VALUE!</v>
      </c>
      <c r="AA24" s="82" t="e">
        <f>IF(AA23&gt;150,(150),AA23)</f>
        <v>#VALUE!</v>
      </c>
      <c r="AB24" s="82" t="e">
        <f>IF(AA24+AC24=0,(IF(Y24&gt;100.99,(Y24*0.4))),0)</f>
        <v>#VALUE!</v>
      </c>
      <c r="AC24" s="82">
        <f>IF(Y24&lt;101,(Y24*0.35),0)</f>
        <v>0</v>
      </c>
      <c r="AD24" s="82" t="e">
        <f>SUM(Z24:AC24)</f>
        <v>#VALUE!</v>
      </c>
      <c r="AE24" s="84" t="e">
        <f>ROUNDDOWN(AD24,0)</f>
        <v>#VALUE!</v>
      </c>
    </row>
    <row r="25" spans="1:31" s="70" customFormat="1" ht="12.75">
      <c r="A25" s="11"/>
      <c r="B25" s="11"/>
      <c r="C25" s="11"/>
      <c r="D25" s="42"/>
      <c r="E25" s="65"/>
      <c r="F25" s="10"/>
      <c r="G25" s="50"/>
      <c r="H25" s="11"/>
      <c r="I25" s="38">
        <f>IF(P25=1,S5,IF(P25=2,S10,IF(P25=4,S20,IF(P25=5,S25,""))))</f>
      </c>
      <c r="J25" s="61">
        <f>IF(P25=1,T5,IF(P25=2,T10,IF(P25=4,T20,IF(P25=5,T25,""))))</f>
      </c>
      <c r="K25" s="62">
        <f>IF(P25=1,U5,IF(P25=2,U10,IF(P25=4,U20,IF(P25=5,U25,""))))</f>
      </c>
      <c r="L25" s="63">
        <f>IF(P25=1,V5,IF(P25=2,V10,IF(P25=4,V20,IF(P25=5,V25,""))))</f>
      </c>
      <c r="M25" s="72"/>
      <c r="N25" s="72"/>
      <c r="O25" s="12"/>
      <c r="P25" s="73">
        <f>SUM(P2:P24)</f>
        <v>0</v>
      </c>
      <c r="Q25" s="73"/>
      <c r="R25" s="12"/>
      <c r="S25" s="20" t="s">
        <v>3</v>
      </c>
      <c r="T25" s="21">
        <v>1507.5</v>
      </c>
      <c r="U25" s="22">
        <v>1608</v>
      </c>
      <c r="V25" s="23">
        <v>0.5</v>
      </c>
      <c r="W25" s="23"/>
      <c r="X25" s="72"/>
      <c r="Y25" s="15"/>
      <c r="Z25" s="15"/>
      <c r="AA25" s="15"/>
      <c r="AB25" s="15"/>
      <c r="AC25" s="15"/>
      <c r="AD25" s="15"/>
      <c r="AE25" s="15"/>
    </row>
    <row r="26" spans="5:23" ht="12.75">
      <c r="E26" s="66"/>
      <c r="F26" s="67"/>
      <c r="G26" s="64">
        <f>IF(C15&gt;0,(G20+G22+G24),"")</f>
      </c>
      <c r="I26" s="38">
        <f>IF(P25=1,S6,IF(P25=4,S21,IF(P25=5,S26,"")))</f>
      </c>
      <c r="J26" s="61">
        <f>IF(P25=1,T6,IF(P25=4,T21,IF(P25=5,T26,"")))</f>
      </c>
      <c r="K26" s="62">
        <f>IF(P25=1,U6,IF(P25=4,U21,IF(P25=5,U26,"")))</f>
      </c>
      <c r="L26" s="63">
        <f>IF(P25=1,V6,IF(P25=4,V21,IF(P25=5,V26,"")))</f>
      </c>
      <c r="O26" s="72"/>
      <c r="S26" s="20" t="s">
        <v>4</v>
      </c>
      <c r="T26" s="21">
        <v>2250</v>
      </c>
      <c r="U26" s="22">
        <v>2400</v>
      </c>
      <c r="V26" s="23">
        <v>1</v>
      </c>
      <c r="W26" s="12" t="s">
        <v>54</v>
      </c>
    </row>
    <row r="27" spans="4:31" ht="12.75">
      <c r="D27" s="68"/>
      <c r="E27" s="10"/>
      <c r="F27" s="10"/>
      <c r="AE27" s="34">
        <f>SUM(AE3+AE8+AE13+AE18+AE23)</f>
        <v>0</v>
      </c>
    </row>
    <row r="28" spans="1:12" ht="12.75">
      <c r="A28" s="70"/>
      <c r="B28" s="11" t="s">
        <v>68</v>
      </c>
      <c r="C28" s="71"/>
      <c r="D28" s="71"/>
      <c r="E28" s="71"/>
      <c r="F28" s="71"/>
      <c r="G28" s="70"/>
      <c r="H28" s="70"/>
      <c r="I28" s="70"/>
      <c r="J28" s="70"/>
      <c r="K28" s="70"/>
      <c r="L28" s="70"/>
    </row>
    <row r="29" spans="2:7" ht="12.75">
      <c r="B29" s="70" t="s">
        <v>67</v>
      </c>
      <c r="C29" s="74"/>
      <c r="D29" s="74"/>
      <c r="E29" s="74"/>
      <c r="F29" s="74"/>
      <c r="G29" s="70"/>
    </row>
    <row r="30" spans="2:7" ht="12.75">
      <c r="B30" s="70"/>
      <c r="C30" s="74"/>
      <c r="D30" s="74"/>
      <c r="E30" s="74"/>
      <c r="F30" s="74"/>
      <c r="G30" s="70"/>
    </row>
    <row r="31" spans="2:7" ht="12.75">
      <c r="B31" s="70" t="s">
        <v>69</v>
      </c>
      <c r="C31" s="74"/>
      <c r="D31" s="74"/>
      <c r="E31" s="74"/>
      <c r="F31" s="74"/>
      <c r="G31" s="70"/>
    </row>
    <row r="32" spans="2:7" ht="12.75" customHeight="1">
      <c r="B32" s="85" t="s">
        <v>70</v>
      </c>
      <c r="C32" s="85"/>
      <c r="D32" s="85"/>
      <c r="E32" s="85"/>
      <c r="F32" s="85"/>
      <c r="G32" s="85"/>
    </row>
    <row r="33" spans="2:7" ht="12.75" customHeight="1">
      <c r="B33" s="85"/>
      <c r="C33" s="85"/>
      <c r="D33" s="85"/>
      <c r="E33" s="85"/>
      <c r="F33" s="85"/>
      <c r="G33" s="85"/>
    </row>
    <row r="34" spans="2:12" ht="12.75">
      <c r="B34" s="78" t="s">
        <v>71</v>
      </c>
      <c r="L34" s="79" t="s">
        <v>72</v>
      </c>
    </row>
    <row r="35" ht="12.75">
      <c r="A35" s="78"/>
    </row>
    <row r="36" spans="8:10" ht="12.75">
      <c r="H36" s="75"/>
      <c r="J36" s="47"/>
    </row>
    <row r="37" spans="8:10" ht="12.75">
      <c r="H37" s="47"/>
      <c r="J37" s="47"/>
    </row>
    <row r="38" spans="8:10" ht="12.75">
      <c r="H38" s="57"/>
      <c r="J38" s="63"/>
    </row>
    <row r="39" spans="2:10" ht="12.75">
      <c r="B39" s="76"/>
      <c r="H39" s="38"/>
      <c r="J39" s="63"/>
    </row>
    <row r="40" spans="2:10" ht="12.75">
      <c r="B40" s="76"/>
      <c r="H40" s="38"/>
      <c r="J40" s="63"/>
    </row>
    <row r="41" spans="2:8" ht="12.75">
      <c r="B41" s="76"/>
      <c r="H41" s="38"/>
    </row>
    <row r="42" spans="2:8" ht="12.75">
      <c r="B42" s="76"/>
      <c r="H42" s="38"/>
    </row>
    <row r="60" ht="12.75">
      <c r="P60" s="12"/>
    </row>
  </sheetData>
  <sheetProtection sheet="1" selectLockedCells="1"/>
  <mergeCells count="5">
    <mergeCell ref="C11:G11"/>
    <mergeCell ref="C12:G12"/>
    <mergeCell ref="S1:V1"/>
    <mergeCell ref="Y1:Y2"/>
    <mergeCell ref="C16:G17"/>
  </mergeCells>
  <dataValidations count="1">
    <dataValidation type="list" allowBlank="1" showInputMessage="1" showErrorMessage="1" sqref="C16:G16">
      <formula1>$O$1:$O$24</formula1>
    </dataValidation>
  </dataValidations>
  <printOptions horizontalCentered="1"/>
  <pageMargins left="0" right="0" top="0" bottom="0" header="0" footer="0"/>
  <pageSetup horizontalDpi="600" verticalDpi="600" orientation="landscape" r:id="rId2"/>
  <ignoredErrors>
    <ignoredError sqref="E20 E22 E24 G24 G20 G2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vdonlev</dc:creator>
  <cp:keywords/>
  <dc:description/>
  <cp:lastModifiedBy>pamandrews</cp:lastModifiedBy>
  <cp:lastPrinted>2017-02-08T21:23:40Z</cp:lastPrinted>
  <dcterms:created xsi:type="dcterms:W3CDTF">2001-02-14T13:58:11Z</dcterms:created>
  <dcterms:modified xsi:type="dcterms:W3CDTF">2019-04-23T13:43:06Z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Leave payout calculator v02032017.xls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System Account</vt:lpwstr>
  </property>
  <property fmtid="{D5CDD505-2E9C-101B-9397-08002B2CF9AE}" pid="12" name="display_urn:schemas-microsoft-com:office:office#Author">
    <vt:lpwstr>System Account</vt:lpwstr>
  </property>
</Properties>
</file>